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gans Documents\5311 FY22 Application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I26" i="1" s="1"/>
  <c r="D17" i="1"/>
  <c r="D15" i="1" s="1"/>
  <c r="D18" i="1" s="1"/>
  <c r="G8" i="1" s="1"/>
  <c r="C17" i="1"/>
  <c r="C15" i="1" s="1"/>
  <c r="C18" i="1" s="1"/>
  <c r="G7" i="1" s="1"/>
  <c r="B17" i="1"/>
  <c r="B15" i="1" s="1"/>
  <c r="B18" i="1" s="1"/>
  <c r="J21" i="1" s="1"/>
  <c r="J16" i="1"/>
  <c r="J15" i="1"/>
  <c r="G6" i="1"/>
  <c r="G4" i="1"/>
  <c r="I7" i="1" l="1"/>
  <c r="I9" i="1" s="1"/>
  <c r="H7" i="1"/>
  <c r="J7" i="1"/>
  <c r="J8" i="1"/>
  <c r="H8" i="1"/>
  <c r="G9" i="1"/>
  <c r="H6" i="1"/>
  <c r="H9" i="1" s="1"/>
  <c r="G26" i="1"/>
  <c r="J6" i="1"/>
  <c r="J9" i="1" s="1"/>
  <c r="J17" i="1" s="1"/>
  <c r="J18" i="1" s="1"/>
  <c r="H26" i="1"/>
  <c r="J19" i="1" l="1"/>
  <c r="J20" i="1" s="1"/>
</calcChain>
</file>

<file path=xl/sharedStrings.xml><?xml version="1.0" encoding="utf-8"?>
<sst xmlns="http://schemas.openxmlformats.org/spreadsheetml/2006/main" count="59" uniqueCount="56">
  <si>
    <t>Mobility Mgmt Funds</t>
  </si>
  <si>
    <t>Traditional 5311</t>
  </si>
  <si>
    <t>Total</t>
  </si>
  <si>
    <t xml:space="preserve"> (80/10/10)</t>
  </si>
  <si>
    <t>50/50</t>
  </si>
  <si>
    <t>Federal Amount</t>
  </si>
  <si>
    <t>State Amount</t>
  </si>
  <si>
    <t>Local Amount</t>
  </si>
  <si>
    <t>Director Salary</t>
  </si>
  <si>
    <t>TPO Operations</t>
  </si>
  <si>
    <t xml:space="preserve">Supervisor Salary </t>
  </si>
  <si>
    <t>Farebox 4%</t>
  </si>
  <si>
    <t>based on fare recovery of current 11 systems</t>
  </si>
  <si>
    <t>Bookkeeper Salary (25%)</t>
  </si>
  <si>
    <t>less 5310 funds</t>
  </si>
  <si>
    <t>FY20 amount from DHS</t>
  </si>
  <si>
    <t xml:space="preserve">Secretary Salary </t>
  </si>
  <si>
    <t>TPO Operating Deficit</t>
  </si>
  <si>
    <t>Traditional 5311 at 50/50</t>
  </si>
  <si>
    <t>Training</t>
  </si>
  <si>
    <t xml:space="preserve"> + RC Admin MM Costs</t>
  </si>
  <si>
    <t>Mobility Mgmt Funds at 80/10/10</t>
  </si>
  <si>
    <t>Marketing</t>
  </si>
  <si>
    <t xml:space="preserve"> + RC Admin 50/50 Costs</t>
  </si>
  <si>
    <t>Telephone</t>
  </si>
  <si>
    <t>Net Operating Deficit</t>
  </si>
  <si>
    <t>Local Match Needed</t>
  </si>
  <si>
    <t>Office Supplies</t>
  </si>
  <si>
    <t>Rental Expenses/Equip Rental</t>
  </si>
  <si>
    <t>Match Sources</t>
  </si>
  <si>
    <t xml:space="preserve"> + DHS CT FY21</t>
  </si>
  <si>
    <t>Standard Overhead</t>
  </si>
  <si>
    <t xml:space="preserve"> + TPO Medicaid</t>
  </si>
  <si>
    <t>based on estimates from GDOT for operator of 9 of 11 current systems</t>
  </si>
  <si>
    <t>Computer Software</t>
  </si>
  <si>
    <t xml:space="preserve"> + TPO Private</t>
  </si>
  <si>
    <t>Audit</t>
  </si>
  <si>
    <t xml:space="preserve"> + TPO MOW</t>
  </si>
  <si>
    <t>Indirect Expenses (@39%)</t>
  </si>
  <si>
    <t xml:space="preserve"> = TPO Match Sub Total</t>
  </si>
  <si>
    <t>Accounting/Legal Services</t>
  </si>
  <si>
    <t>Available Match SubTotal</t>
  </si>
  <si>
    <t xml:space="preserve"> = Local Match Available</t>
  </si>
  <si>
    <t>Fringe @ 40%</t>
  </si>
  <si>
    <t xml:space="preserve"> - Local Match Needed</t>
  </si>
  <si>
    <t>RC Administrative Totals</t>
  </si>
  <si>
    <t xml:space="preserve"> = Total Excess Revenue</t>
  </si>
  <si>
    <t xml:space="preserve"> - Less Match Held by TPO</t>
  </si>
  <si>
    <t xml:space="preserve"> = Net Excess Revenue for Reserve, Federal Drawdown, Future Capital</t>
  </si>
  <si>
    <t>Maximum 50% Reserve (RC admin total + TPO Operations Total)</t>
  </si>
  <si>
    <t>Estimated Unit Cost Calculations</t>
  </si>
  <si>
    <t># of Rev Hrs Est</t>
  </si>
  <si>
    <t># Trips Est</t>
  </si>
  <si>
    <t># rev miles Est</t>
  </si>
  <si>
    <t>Total Costs (TPO Operations)</t>
  </si>
  <si>
    <t>* TPO Operations Costs and Unit Cost Hours, Trips, Miles are estimated on Pre-COVID ridership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</si>
</sst>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9" fontId="0" fillId="0" borderId="0" xfId="0" applyNumberFormat="1"/>
    <xf numFmtId="164" fontId="0" fillId="0" borderId="1" xfId="0" applyNumberFormat="1" applyBorder="1"/>
    <xf numFmtId="0" fontId="0" fillId="0" borderId="0" xfId="0" quotePrefix="1"/>
    <xf numFmtId="0" fontId="0" fillId="0" borderId="1" xfId="0" quotePrefix="1" applyBorder="1"/>
    <xf numFmtId="0" fontId="1" fillId="0" borderId="0" xfId="0" applyFont="1"/>
    <xf numFmtId="164" fontId="1" fillId="0" borderId="0" xfId="0" applyNumberFormat="1" applyFont="1"/>
    <xf numFmtId="164" fontId="1" fillId="2" borderId="1" xfId="0" applyNumberFormat="1" applyFont="1" applyFill="1" applyBorder="1"/>
    <xf numFmtId="164" fontId="0" fillId="0" borderId="0" xfId="0" applyNumberFormat="1" applyBorder="1"/>
    <xf numFmtId="0" fontId="0" fillId="0" borderId="0" xfId="0" applyAlignment="1">
      <alignment horizontal="right"/>
    </xf>
    <xf numFmtId="0" fontId="0" fillId="0" borderId="2" xfId="0" applyBorder="1"/>
    <xf numFmtId="164" fontId="1" fillId="0" borderId="2" xfId="0" applyNumberFormat="1" applyFont="1" applyBorder="1"/>
    <xf numFmtId="0" fontId="1" fillId="0" borderId="2" xfId="0" quotePrefix="1" applyFont="1" applyBorder="1"/>
    <xf numFmtId="0" fontId="1" fillId="0" borderId="0" xfId="0" applyFont="1" applyAlignment="1">
      <alignment horizontal="right"/>
    </xf>
    <xf numFmtId="0" fontId="1" fillId="0" borderId="0" xfId="0" quotePrefix="1" applyFont="1"/>
    <xf numFmtId="164" fontId="0" fillId="2" borderId="1" xfId="0" applyNumberFormat="1" applyFill="1" applyBorder="1"/>
    <xf numFmtId="164" fontId="0" fillId="0" borderId="1" xfId="0" quotePrefix="1" applyNumberFormat="1" applyBorder="1"/>
    <xf numFmtId="164" fontId="1" fillId="0" borderId="0" xfId="0" applyNumberFormat="1" applyFont="1" applyFill="1"/>
    <xf numFmtId="0" fontId="0" fillId="0" borderId="3" xfId="0" applyBorder="1"/>
    <xf numFmtId="164" fontId="0" fillId="0" borderId="3" xfId="0" applyNumberFormat="1" applyFill="1" applyBorder="1"/>
    <xf numFmtId="0" fontId="0" fillId="0" borderId="3" xfId="0" quotePrefix="1" applyBorder="1"/>
    <xf numFmtId="164" fontId="1" fillId="3" borderId="0" xfId="0" applyNumberFormat="1" applyFont="1" applyFill="1"/>
    <xf numFmtId="0" fontId="1" fillId="0" borderId="0" xfId="0" quotePrefix="1" applyFont="1" applyFill="1" applyBorder="1"/>
    <xf numFmtId="43" fontId="0" fillId="0" borderId="0" xfId="0" applyNumberFormat="1" applyFill="1"/>
    <xf numFmtId="165" fontId="0" fillId="0" borderId="0" xfId="0" applyNumberForma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K5" sqref="K5"/>
    </sheetView>
  </sheetViews>
  <sheetFormatPr defaultRowHeight="15" x14ac:dyDescent="0.25"/>
  <cols>
    <col min="1" max="1" width="62.85546875" customWidth="1"/>
    <col min="2" max="2" width="12.5703125" bestFit="1" customWidth="1"/>
    <col min="3" max="3" width="20" bestFit="1" customWidth="1"/>
    <col min="4" max="4" width="15.140625" bestFit="1" customWidth="1"/>
    <col min="6" max="6" width="30.140625" bestFit="1" customWidth="1"/>
    <col min="7" max="7" width="15.85546875" bestFit="1" customWidth="1"/>
    <col min="8" max="8" width="15.42578125" bestFit="1" customWidth="1"/>
    <col min="9" max="9" width="23.85546875" bestFit="1" customWidth="1"/>
    <col min="10" max="10" width="13.140625" bestFit="1" customWidth="1"/>
    <col min="11" max="11" width="64.140625" bestFit="1" customWidth="1"/>
  </cols>
  <sheetData>
    <row r="1" spans="1:12" x14ac:dyDescent="0.25">
      <c r="C1" t="s">
        <v>0</v>
      </c>
      <c r="D1" t="s">
        <v>1</v>
      </c>
    </row>
    <row r="2" spans="1:12" x14ac:dyDescent="0.25">
      <c r="B2" s="1" t="s">
        <v>2</v>
      </c>
      <c r="C2" s="1" t="s">
        <v>3</v>
      </c>
      <c r="D2" s="1" t="s">
        <v>4</v>
      </c>
      <c r="H2" s="2" t="s">
        <v>5</v>
      </c>
      <c r="I2" s="2" t="s">
        <v>6</v>
      </c>
      <c r="J2" s="2" t="s">
        <v>7</v>
      </c>
    </row>
    <row r="3" spans="1:12" x14ac:dyDescent="0.25">
      <c r="A3" t="s">
        <v>8</v>
      </c>
      <c r="B3" s="3">
        <v>25000</v>
      </c>
      <c r="C3" s="3">
        <v>0</v>
      </c>
      <c r="D3" s="3">
        <v>25000</v>
      </c>
      <c r="F3" s="4" t="s">
        <v>9</v>
      </c>
      <c r="G3" s="5">
        <v>1620000</v>
      </c>
      <c r="H3" s="6"/>
      <c r="I3" s="6"/>
      <c r="J3" s="6"/>
      <c r="K3" s="6"/>
    </row>
    <row r="4" spans="1:12" x14ac:dyDescent="0.25">
      <c r="A4" t="s">
        <v>10</v>
      </c>
      <c r="B4" s="3">
        <v>60000</v>
      </c>
      <c r="C4" s="3">
        <v>60000</v>
      </c>
      <c r="D4" s="3">
        <v>0</v>
      </c>
      <c r="F4" t="s">
        <v>11</v>
      </c>
      <c r="G4" s="3">
        <f>G3*K4</f>
        <v>64800</v>
      </c>
      <c r="K4" s="7">
        <v>0.04</v>
      </c>
      <c r="L4" t="s">
        <v>12</v>
      </c>
    </row>
    <row r="5" spans="1:12" x14ac:dyDescent="0.25">
      <c r="A5" t="s">
        <v>13</v>
      </c>
      <c r="B5" s="3">
        <v>15000</v>
      </c>
      <c r="C5" s="3">
        <v>0</v>
      </c>
      <c r="D5" s="3">
        <v>15000</v>
      </c>
      <c r="F5" s="6" t="s">
        <v>14</v>
      </c>
      <c r="G5" s="8">
        <v>842853</v>
      </c>
      <c r="H5" s="6"/>
      <c r="I5" s="6"/>
      <c r="J5" s="6"/>
      <c r="K5" s="6" t="s">
        <v>15</v>
      </c>
    </row>
    <row r="6" spans="1:12" x14ac:dyDescent="0.25">
      <c r="A6" t="s">
        <v>16</v>
      </c>
      <c r="B6" s="3">
        <v>38000</v>
      </c>
      <c r="C6" s="3">
        <v>25000</v>
      </c>
      <c r="D6" s="3">
        <v>13000</v>
      </c>
      <c r="F6" t="s">
        <v>17</v>
      </c>
      <c r="G6" s="3">
        <f>G3-G4-G5</f>
        <v>712347</v>
      </c>
      <c r="H6" s="3">
        <f>G6/2</f>
        <v>356173.5</v>
      </c>
      <c r="I6" s="3"/>
      <c r="J6" s="3">
        <f>G6/2</f>
        <v>356173.5</v>
      </c>
      <c r="L6" t="s">
        <v>18</v>
      </c>
    </row>
    <row r="7" spans="1:12" x14ac:dyDescent="0.25">
      <c r="A7" t="s">
        <v>19</v>
      </c>
      <c r="B7" s="3">
        <v>17000</v>
      </c>
      <c r="C7" s="3">
        <v>17000</v>
      </c>
      <c r="D7" s="3"/>
      <c r="F7" s="9" t="s">
        <v>20</v>
      </c>
      <c r="G7" s="3">
        <f>C18</f>
        <v>182410</v>
      </c>
      <c r="H7" s="3">
        <f>G7*0.8</f>
        <v>145928</v>
      </c>
      <c r="I7" s="3">
        <f>G7*0.1</f>
        <v>18241</v>
      </c>
      <c r="J7" s="3">
        <f>G7*0.1</f>
        <v>18241</v>
      </c>
      <c r="L7" t="s">
        <v>21</v>
      </c>
    </row>
    <row r="8" spans="1:12" x14ac:dyDescent="0.25">
      <c r="A8" t="s">
        <v>22</v>
      </c>
      <c r="B8" s="3">
        <v>11000</v>
      </c>
      <c r="C8" s="3">
        <v>0</v>
      </c>
      <c r="D8" s="3">
        <v>11000</v>
      </c>
      <c r="F8" s="10" t="s">
        <v>23</v>
      </c>
      <c r="G8" s="8">
        <f>D18</f>
        <v>106948</v>
      </c>
      <c r="H8" s="8">
        <f>G8*0.5</f>
        <v>53474</v>
      </c>
      <c r="I8" s="6"/>
      <c r="J8" s="8">
        <f>G8*0.5</f>
        <v>53474</v>
      </c>
      <c r="L8" t="s">
        <v>18</v>
      </c>
    </row>
    <row r="9" spans="1:12" x14ac:dyDescent="0.25">
      <c r="A9" t="s">
        <v>24</v>
      </c>
      <c r="B9" s="3"/>
      <c r="C9" s="3"/>
      <c r="D9" s="3"/>
      <c r="F9" s="11" t="s">
        <v>25</v>
      </c>
      <c r="G9" s="12">
        <f>G6+G7+G8</f>
        <v>1001705</v>
      </c>
      <c r="H9" s="12">
        <f t="shared" ref="H9:J9" si="0">H6+H7+H8</f>
        <v>555575.5</v>
      </c>
      <c r="I9" s="12">
        <f t="shared" si="0"/>
        <v>18241</v>
      </c>
      <c r="J9" s="13">
        <f t="shared" si="0"/>
        <v>427888.5</v>
      </c>
      <c r="K9" s="5" t="s">
        <v>26</v>
      </c>
    </row>
    <row r="10" spans="1:12" x14ac:dyDescent="0.25">
      <c r="A10" t="s">
        <v>27</v>
      </c>
      <c r="B10" s="3">
        <v>5000</v>
      </c>
      <c r="C10" s="3">
        <v>0</v>
      </c>
      <c r="D10" s="3">
        <v>5000</v>
      </c>
      <c r="G10" s="3"/>
      <c r="H10" s="3"/>
      <c r="I10" s="3"/>
      <c r="J10" s="14"/>
      <c r="K10" s="14"/>
    </row>
    <row r="11" spans="1:12" x14ac:dyDescent="0.25">
      <c r="A11" t="s">
        <v>28</v>
      </c>
      <c r="B11" s="3"/>
      <c r="C11" s="3"/>
      <c r="D11" s="3"/>
      <c r="I11" s="15" t="s">
        <v>29</v>
      </c>
      <c r="J11" s="3">
        <v>719564.9</v>
      </c>
      <c r="K11" s="9" t="s">
        <v>30</v>
      </c>
    </row>
    <row r="12" spans="1:12" x14ac:dyDescent="0.25">
      <c r="A12" t="s">
        <v>31</v>
      </c>
      <c r="B12" s="3"/>
      <c r="C12" s="3"/>
      <c r="D12" s="3"/>
      <c r="J12" s="3">
        <v>77000</v>
      </c>
      <c r="K12" s="9" t="s">
        <v>32</v>
      </c>
      <c r="L12" t="s">
        <v>33</v>
      </c>
    </row>
    <row r="13" spans="1:12" x14ac:dyDescent="0.25">
      <c r="A13" t="s">
        <v>34</v>
      </c>
      <c r="B13" s="3">
        <v>2000</v>
      </c>
      <c r="C13" s="3">
        <v>0</v>
      </c>
      <c r="D13" s="3">
        <v>2000</v>
      </c>
      <c r="J13" s="3">
        <v>132750</v>
      </c>
      <c r="K13" s="9" t="s">
        <v>35</v>
      </c>
      <c r="L13" t="s">
        <v>33</v>
      </c>
    </row>
    <row r="14" spans="1:12" x14ac:dyDescent="0.25">
      <c r="A14" t="s">
        <v>36</v>
      </c>
      <c r="B14" s="3"/>
      <c r="C14" s="3"/>
      <c r="D14" s="3"/>
      <c r="H14" s="2"/>
      <c r="I14" s="6"/>
      <c r="J14" s="8">
        <v>70000</v>
      </c>
      <c r="K14" s="10" t="s">
        <v>37</v>
      </c>
      <c r="L14" t="s">
        <v>33</v>
      </c>
    </row>
    <row r="15" spans="1:12" x14ac:dyDescent="0.25">
      <c r="A15" t="s">
        <v>38</v>
      </c>
      <c r="B15" s="3">
        <f>(B3+B4+B6+B17)*0.39</f>
        <v>67158</v>
      </c>
      <c r="C15" s="3">
        <f>(C4+C6+C3+C17)*0.39</f>
        <v>46410</v>
      </c>
      <c r="D15" s="3">
        <f>(D4+D6+D3+D17)*0.39</f>
        <v>20748</v>
      </c>
      <c r="I15" s="16"/>
      <c r="J15" s="17">
        <f>J12+J13+J14</f>
        <v>279750</v>
      </c>
      <c r="K15" s="18" t="s">
        <v>39</v>
      </c>
    </row>
    <row r="16" spans="1:12" x14ac:dyDescent="0.25">
      <c r="A16" t="s">
        <v>40</v>
      </c>
      <c r="B16" s="3"/>
      <c r="C16" s="3"/>
      <c r="D16" s="3"/>
      <c r="I16" s="19" t="s">
        <v>41</v>
      </c>
      <c r="J16" s="12">
        <f>SUM(J11:J14)</f>
        <v>999314.9</v>
      </c>
      <c r="K16" s="20" t="s">
        <v>42</v>
      </c>
    </row>
    <row r="17" spans="1:11" x14ac:dyDescent="0.25">
      <c r="A17" s="6" t="s">
        <v>43</v>
      </c>
      <c r="B17" s="8">
        <f>(B3+B4+B6)*0.4</f>
        <v>49200</v>
      </c>
      <c r="C17" s="8">
        <f>(C4+C6+C3)*0.4</f>
        <v>34000</v>
      </c>
      <c r="D17" s="8">
        <f>(D4+D6+D3)*0.4</f>
        <v>15200</v>
      </c>
      <c r="J17" s="21">
        <f>J9</f>
        <v>427888.5</v>
      </c>
      <c r="K17" s="22" t="s">
        <v>44</v>
      </c>
    </row>
    <row r="18" spans="1:11" x14ac:dyDescent="0.25">
      <c r="A18" s="11" t="s">
        <v>45</v>
      </c>
      <c r="B18" s="12">
        <f>SUM(B3:B17)</f>
        <v>289358</v>
      </c>
      <c r="C18" s="12">
        <f t="shared" ref="C18:D18" si="1">SUM(C3:C17)</f>
        <v>182410</v>
      </c>
      <c r="D18" s="12">
        <f t="shared" si="1"/>
        <v>106948</v>
      </c>
      <c r="E18" s="3"/>
      <c r="F18" s="2"/>
      <c r="G18" s="2"/>
      <c r="J18" s="23">
        <f>J16-J17</f>
        <v>571426.4</v>
      </c>
      <c r="K18" s="20" t="s">
        <v>46</v>
      </c>
    </row>
    <row r="19" spans="1:11" x14ac:dyDescent="0.25">
      <c r="G19" s="3"/>
      <c r="I19" s="24"/>
      <c r="J19" s="25">
        <f>J18-J15</f>
        <v>291676.40000000002</v>
      </c>
      <c r="K19" s="26" t="s">
        <v>47</v>
      </c>
    </row>
    <row r="20" spans="1:11" x14ac:dyDescent="0.25">
      <c r="G20" s="3"/>
      <c r="J20" s="27">
        <f>J18-J19</f>
        <v>279750</v>
      </c>
      <c r="K20" s="28" t="s">
        <v>48</v>
      </c>
    </row>
    <row r="21" spans="1:11" x14ac:dyDescent="0.25">
      <c r="J21" s="3">
        <f>(G3+B18)*0.5</f>
        <v>954679</v>
      </c>
      <c r="K21" t="s">
        <v>49</v>
      </c>
    </row>
    <row r="23" spans="1:11" x14ac:dyDescent="0.25">
      <c r="F23" s="11" t="s">
        <v>50</v>
      </c>
    </row>
    <row r="24" spans="1:11" x14ac:dyDescent="0.25">
      <c r="G24" s="3" t="s">
        <v>51</v>
      </c>
      <c r="H24" t="s">
        <v>52</v>
      </c>
      <c r="I24" s="3" t="s">
        <v>53</v>
      </c>
    </row>
    <row r="25" spans="1:11" x14ac:dyDescent="0.25">
      <c r="F25" s="11" t="s">
        <v>54</v>
      </c>
      <c r="G25" s="29">
        <v>115970</v>
      </c>
      <c r="H25" s="30">
        <v>83100</v>
      </c>
      <c r="I25" s="30">
        <v>784745</v>
      </c>
    </row>
    <row r="26" spans="1:11" ht="39" customHeight="1" x14ac:dyDescent="0.25">
      <c r="A26" s="31" t="s">
        <v>55</v>
      </c>
      <c r="F26" s="12">
        <f>G3</f>
        <v>1620000</v>
      </c>
      <c r="G26" s="12">
        <f>F26/G25</f>
        <v>13.969129947400189</v>
      </c>
      <c r="H26" s="12">
        <f>F26/H25</f>
        <v>19.494584837545126</v>
      </c>
      <c r="I26" s="12">
        <f>F26/I25</f>
        <v>2.0643648573740516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Fowler</dc:creator>
  <cp:lastModifiedBy>Megan Fowler</cp:lastModifiedBy>
  <dcterms:created xsi:type="dcterms:W3CDTF">2020-10-29T14:38:12Z</dcterms:created>
  <dcterms:modified xsi:type="dcterms:W3CDTF">2020-10-29T14:40:31Z</dcterms:modified>
</cp:coreProperties>
</file>